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https://nfp.sharepoint.com/sites/NFP-BaileyGroup/Shared Documents/Accounts/Groups/St. Johns County/2024/2._Enrollment_and_Applications/"/>
    </mc:Choice>
  </mc:AlternateContent>
  <xr:revisionPtr revIDLastSave="40" documentId="13_ncr:1_{0B4B1A79-46EE-428D-89DC-F871C736AFF6}" xr6:coauthVersionLast="47" xr6:coauthVersionMax="47" xr10:uidLastSave="{8CB0F790-06E4-4C2A-A093-B66AECDBF184}"/>
  <bookViews>
    <workbookView xWindow="-98" yWindow="-98" windowWidth="18915" windowHeight="11956" xr2:uid="{00000000-000D-0000-FFFF-FFFF00000000}"/>
  </bookViews>
  <sheets>
    <sheet name="Cost Estimator" sheetId="1" r:id="rId1"/>
    <sheet name="Avg Costs" sheetId="2" state="hidden" r:id="rId2"/>
  </sheets>
  <definedNames>
    <definedName name="_xlnm.Print_Area" localSheetId="0">'Cost Estimator'!$A$1:$F$26</definedName>
  </definedNames>
  <calcPr calcId="191029"/>
  <webPublishing codePag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5" i="1" l="1"/>
  <c r="J24" i="1"/>
  <c r="J23" i="1"/>
  <c r="J22" i="1"/>
  <c r="H25" i="1"/>
  <c r="H24" i="1"/>
  <c r="H23" i="1"/>
  <c r="H22" i="1"/>
  <c r="L24" i="1" l="1"/>
  <c r="M24" i="1" s="1"/>
  <c r="L22" i="1"/>
  <c r="M22" i="1" s="1"/>
  <c r="L25" i="1"/>
  <c r="M25" i="1" s="1"/>
  <c r="L23" i="1"/>
  <c r="M23" i="1" s="1"/>
  <c r="J14" i="1" l="1"/>
  <c r="C19" i="1" s="1"/>
  <c r="B19" i="1"/>
  <c r="I9" i="1"/>
  <c r="J5" i="1"/>
  <c r="H13" i="1"/>
  <c r="H5" i="1"/>
  <c r="H8" i="1" l="1"/>
  <c r="H7" i="1"/>
  <c r="J13" i="1"/>
  <c r="J12" i="1"/>
  <c r="H12" i="1"/>
  <c r="J11" i="1"/>
  <c r="H11" i="1"/>
  <c r="K9" i="1"/>
  <c r="K6" i="1"/>
  <c r="I6" i="1"/>
  <c r="H16" i="1" s="1"/>
  <c r="H17" i="1" s="1"/>
  <c r="G20" i="2"/>
  <c r="G9" i="2"/>
  <c r="N16" i="1" l="1"/>
  <c r="J10" i="1"/>
  <c r="J15" i="1" s="1"/>
  <c r="K8" i="1"/>
  <c r="J16" i="1" s="1"/>
  <c r="J17" i="1" s="1"/>
  <c r="K7" i="1"/>
  <c r="C20" i="1" l="1"/>
  <c r="B20" i="1"/>
  <c r="H10" i="1"/>
  <c r="H15" i="1" s="1"/>
  <c r="J18" i="1" l="1"/>
  <c r="C18" i="1" s="1"/>
  <c r="C21" i="1" s="1"/>
  <c r="H18" i="1"/>
  <c r="B18" i="1" s="1"/>
  <c r="B21" i="1" l="1"/>
  <c r="D21" i="1" l="1"/>
</calcChain>
</file>

<file path=xl/sharedStrings.xml><?xml version="1.0" encoding="utf-8"?>
<sst xmlns="http://schemas.openxmlformats.org/spreadsheetml/2006/main" count="118" uniqueCount="88">
  <si>
    <t>Estimate the number of generic medications you or your covered dependents will take each month.</t>
  </si>
  <si>
    <t>Coin</t>
  </si>
  <si>
    <t>Employee &amp; Spouse</t>
  </si>
  <si>
    <t>Choose your coverage level</t>
  </si>
  <si>
    <t>Estimated Annual Costs</t>
  </si>
  <si>
    <t>Estimate the number of non-preferred medications you or your covered dependents will take each month.</t>
  </si>
  <si>
    <t>Estimate the number of preferred brand medications you or your covered dependents will take each month.</t>
  </si>
  <si>
    <t>Copays</t>
  </si>
  <si>
    <t>Employee Only</t>
  </si>
  <si>
    <t>Premium</t>
  </si>
  <si>
    <t>Ded</t>
  </si>
  <si>
    <t>Please keep in mind that these are cost estimates only.  Your actual experience may be different.</t>
  </si>
  <si>
    <t>Medical costs*</t>
  </si>
  <si>
    <t>Estimate the total number of times you and your covered dependents will visit an in-network family physician office.</t>
  </si>
  <si>
    <t>Estimate the total number of times you and your covered dependents will visit an in-network specialist's office.</t>
  </si>
  <si>
    <t>Estimate the total number of times you and your covered dependents will have in-network outpatient surgery.</t>
  </si>
  <si>
    <t>Estimate the total number of times you and your covered dependents will be admitted to an in-network hospital.</t>
  </si>
  <si>
    <t>Estimate the total number of times you and your covered dependents will visit an in-network emergency room.</t>
  </si>
  <si>
    <t>IN OOP Max</t>
  </si>
  <si>
    <t>RAYMAKER, BRIAN D., MD</t>
  </si>
  <si>
    <t>BRAGG, TRACI L., MD</t>
  </si>
  <si>
    <t>HINMAN II, ROY H., MD</t>
  </si>
  <si>
    <t>FUENTES, JUAN C., MD</t>
  </si>
  <si>
    <t>BARINGER, DUDLEY A., MD</t>
  </si>
  <si>
    <t>Address:</t>
  </si>
  <si>
    <t>300 HEALTH PARK BLVD</t>
  </si>
  <si>
    <t>STE 5008</t>
  </si>
  <si>
    <t>SAINT AUGUSTINE, FL 32086</t>
  </si>
  <si>
    <t>559 W TWINCOURT TRL</t>
  </si>
  <si>
    <t>UNIT 601</t>
  </si>
  <si>
    <t>ST AUGUSTINE, FL 32095</t>
  </si>
  <si>
    <t>100 ARRICOLA AVE</t>
  </si>
  <si>
    <t>SAINT AUGUSTINE, FL 32080</t>
  </si>
  <si>
    <t>120 HEALTH PARK BLVD</t>
  </si>
  <si>
    <t>STE 1</t>
  </si>
  <si>
    <t>Contact Information:</t>
  </si>
  <si>
    <t>(904) 824-6214</t>
  </si>
  <si>
    <t>(904) 940-1441</t>
  </si>
  <si>
    <t>(904) 825-4368</t>
  </si>
  <si>
    <t>(904) 940-7441</t>
  </si>
  <si>
    <t>(904) 823-3401</t>
  </si>
  <si>
    <t>Location / Distance:</t>
  </si>
  <si>
    <t>4.6 Miles</t>
  </si>
  <si>
    <t>7.3 Miles</t>
  </si>
  <si>
    <t>4.4 Miles</t>
  </si>
  <si>
    <t>4.5 Miles</t>
  </si>
  <si>
    <t>Your Total Cost:</t>
  </si>
  <si>
    <t>ASHCHI, MAJDI, DO</t>
  </si>
  <si>
    <t>CARACCIOLO, VINCENT J., MD</t>
  </si>
  <si>
    <t>LEWIS, TODD C., MD</t>
  </si>
  <si>
    <t>KHATIB, YAZAN, MD</t>
  </si>
  <si>
    <t>KELSEY, ROBERT C., MD</t>
  </si>
  <si>
    <t>1000 PLANTATION ISLAND DR S</t>
  </si>
  <si>
    <t>STE 9</t>
  </si>
  <si>
    <t>STE 1006</t>
  </si>
  <si>
    <t>16 SAINT JOHNS MEDICAL PARK DR</t>
  </si>
  <si>
    <t>2720 US HIGHWAY 1 S</t>
  </si>
  <si>
    <t>STE B</t>
  </si>
  <si>
    <t>ST AUGUSTINE, FL 32086</t>
  </si>
  <si>
    <t>(904) 342-8300</t>
  </si>
  <si>
    <t>(904) 794-7050</t>
  </si>
  <si>
    <t>(904) 436-6420</t>
  </si>
  <si>
    <t>(904) 827-0078</t>
  </si>
  <si>
    <t>5.7 Miles</t>
  </si>
  <si>
    <t>5.9 Miles</t>
  </si>
  <si>
    <t>5.4 Miles</t>
  </si>
  <si>
    <t>Copay</t>
  </si>
  <si>
    <t>Deductible</t>
  </si>
  <si>
    <t>County HRA Contribution</t>
  </si>
  <si>
    <t>Employee &amp; Children</t>
  </si>
  <si>
    <t>Annual Premium</t>
  </si>
  <si>
    <t>Annual HRA Contribution</t>
  </si>
  <si>
    <t>HRA Contribution</t>
  </si>
  <si>
    <t>Employee &amp; Family</t>
  </si>
  <si>
    <t>AVG Cost in South Atlantic (Truven Health Analytics)</t>
  </si>
  <si>
    <t>IF($F$13="Employee Only",SUM(I5:I12)&gt;500,500,if($F$13="Employee &amp; Spouse",SUM(I5:I12)&gt;1000,1000,if(or($F$13="Employee &amp; Children",$F$13="Employee &amp; Family"),SUM(I5:I12)&gt;1500,1500)))</t>
  </si>
  <si>
    <t>Neither St. Johns County nor The Bailey Group guarantee the accuracy of the information above.  The tool is designed to give an estimation of costs only.  The plans referenced are controlled by various insurance contracts.  All final benefit interpretations will be controlled by the insurance contract.</t>
  </si>
  <si>
    <t>Estimated Employee Annual Out of Pocket Costs</t>
  </si>
  <si>
    <t>This is an interactive tool to assist you in comparing your out of pocket expenses under each of the two medical plans offered at St. Johns County.  After you enter your estimates for the upcoming year in the area below, the worksheet calculates the estimated costs for your health care expenses and summarizes the total estimated costs for each plan including premiums.  This worksheet may also assist you in estimating the amount you may wish to contribute to your Health Care Flexible Spending Account.</t>
  </si>
  <si>
    <t>Consider using FSA for these dollars.</t>
  </si>
  <si>
    <t>PPO Plan</t>
  </si>
  <si>
    <t>PPO with HRA Plan</t>
  </si>
  <si>
    <t>This number represents the difference in cost from the PPO Plan to the PPO with HRA Plan.</t>
  </si>
  <si>
    <t>PPO</t>
  </si>
  <si>
    <t>PPO with HRA</t>
  </si>
  <si>
    <t>* This estimator uses $205 as the average cost of a specialist visit, $2,400 as the average cost of an outpatient procedure, $26,500 as the average cost for an inpatient hospital visit, and $1,025 as the average cost of an ER visit.  These costs may be significantly different depending upon the services performed during the visit.  The estimator also assumes completion of the WPI for employee,  and spouse if applicable, and assumes no spousal surcharge will be assessed.</t>
  </si>
  <si>
    <t>2024 Medical Plan Cost Comparison Worksheet</t>
  </si>
  <si>
    <t>Monthly WPI 2 Premiums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</si>
</sst>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s>
  <fonts count="9" x14ac:knownFonts="1">
    <font>
      <sz val="11"/>
      <color theme="1"/>
      <name val="Calibri"/>
      <scheme val="minor"/>
    </font>
    <font>
      <sz val="10"/>
      <name val="Arial"/>
      <family val="2"/>
    </font>
    <font>
      <b/>
      <sz val="11"/>
      <color theme="0"/>
      <name val="Calibri"/>
      <family val="2"/>
      <scheme val="minor"/>
    </font>
    <font>
      <b/>
      <sz val="11"/>
      <color theme="1"/>
      <name val="Calibri"/>
      <family val="2"/>
      <scheme val="minor"/>
    </font>
    <font>
      <b/>
      <sz val="14"/>
      <color theme="1"/>
      <name val="Calibri"/>
      <family val="2"/>
      <scheme val="minor"/>
    </font>
    <font>
      <sz val="9"/>
      <color theme="1"/>
      <name val="Calibri"/>
      <family val="2"/>
      <scheme val="minor"/>
    </font>
    <font>
      <sz val="10"/>
      <color theme="1"/>
      <name val="Calibri"/>
      <family val="2"/>
      <scheme val="minor"/>
    </font>
    <font>
      <sz val="11"/>
      <color theme="1"/>
      <name val="Calibri"/>
      <family val="2"/>
      <scheme val="minor"/>
    </font>
    <font>
      <b/>
      <sz val="11"/>
      <color theme="1"/>
      <name val="Calibri"/>
      <family val="2"/>
      <scheme val="minor"/>
    </font>
  </fonts>
  <fills count="11">
    <fill>
      <patternFill patternType="none"/>
    </fill>
    <fill>
      <patternFill patternType="gray125"/>
    </fill>
    <fill>
      <patternFill patternType="solid">
        <fgColor theme="4" tint="0.59996337778862885"/>
        <bgColor indexed="64"/>
      </patternFill>
    </fill>
    <fill>
      <patternFill patternType="solid">
        <fgColor theme="4" tint="-0.24994659260841701"/>
        <bgColor indexed="64"/>
      </patternFill>
    </fill>
    <fill>
      <patternFill patternType="solid">
        <fgColor theme="9"/>
        <bgColor indexed="64"/>
      </patternFill>
    </fill>
    <fill>
      <patternFill patternType="solid">
        <fgColor rgb="FFFFFF99"/>
        <bgColor indexed="64"/>
      </patternFill>
    </fill>
    <fill>
      <patternFill patternType="solid">
        <fgColor theme="0" tint="-4.9958800012207406E-2"/>
        <bgColor indexed="64"/>
      </patternFill>
    </fill>
    <fill>
      <patternFill patternType="solid">
        <fgColor theme="9" tint="0.59996337778862885"/>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5999938962981048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theme="9" tint="-0.249977111117893"/>
      </bottom>
      <diagonal/>
    </border>
    <border>
      <left/>
      <right style="thin">
        <color theme="9" tint="-0.249977111117893"/>
      </right>
      <top style="thin">
        <color auto="1"/>
      </top>
      <bottom style="thin">
        <color theme="9" tint="-0.249977111117893"/>
      </bottom>
      <diagonal/>
    </border>
    <border>
      <left/>
      <right/>
      <top/>
      <bottom style="thin">
        <color indexed="64"/>
      </bottom>
      <diagonal/>
    </border>
    <border>
      <left style="thin">
        <color auto="1"/>
      </left>
      <right/>
      <top style="thin">
        <color indexed="64"/>
      </top>
      <bottom/>
      <diagonal/>
    </border>
    <border>
      <left/>
      <right/>
      <top style="thin">
        <color indexed="64"/>
      </top>
      <bottom/>
      <diagonal/>
    </border>
  </borders>
  <cellStyleXfs count="6">
    <xf numFmtId="0" fontId="0" fillId="0" borderId="0"/>
    <xf numFmtId="9" fontId="1" fillId="0" borderId="0"/>
    <xf numFmtId="44" fontId="7" fillId="0" borderId="0"/>
    <xf numFmtId="42" fontId="1" fillId="0" borderId="0"/>
    <xf numFmtId="43" fontId="1" fillId="0" borderId="0"/>
    <xf numFmtId="41" fontId="1" fillId="0" borderId="0"/>
  </cellStyleXfs>
  <cellXfs count="51">
    <xf numFmtId="0" fontId="0" fillId="0" borderId="0" xfId="0"/>
    <xf numFmtId="0" fontId="0" fillId="0" borderId="1" xfId="0" applyBorder="1"/>
    <xf numFmtId="0" fontId="3" fillId="0" borderId="0" xfId="0" applyFont="1" applyAlignment="1">
      <alignment horizontal="center"/>
    </xf>
    <xf numFmtId="0" fontId="0" fillId="2" borderId="1" xfId="0" applyFill="1" applyBorder="1"/>
    <xf numFmtId="0" fontId="2" fillId="3" borderId="1" xfId="0" applyFont="1" applyFill="1" applyBorder="1" applyAlignment="1">
      <alignment horizontal="center"/>
    </xf>
    <xf numFmtId="0" fontId="0" fillId="0" borderId="0" xfId="0" applyAlignment="1">
      <alignment horizontal="left" vertical="center" wrapText="1"/>
    </xf>
    <xf numFmtId="0" fontId="0" fillId="0" borderId="0" xfId="0" applyAlignment="1">
      <alignment horizontal="left" wrapText="1"/>
    </xf>
    <xf numFmtId="0" fontId="4" fillId="6" borderId="0" xfId="0" applyFont="1" applyFill="1"/>
    <xf numFmtId="0" fontId="0" fillId="6" borderId="0" xfId="0" applyFill="1"/>
    <xf numFmtId="0" fontId="3" fillId="6" borderId="0" xfId="0" applyFont="1" applyFill="1" applyAlignment="1">
      <alignment horizontal="center"/>
    </xf>
    <xf numFmtId="44" fontId="0" fillId="0" borderId="1" xfId="2" applyFont="1" applyBorder="1"/>
    <xf numFmtId="44" fontId="0" fillId="2" borderId="1" xfId="2" applyFont="1" applyFill="1" applyBorder="1"/>
    <xf numFmtId="0" fontId="0" fillId="0" borderId="0" xfId="0" applyAlignment="1">
      <alignment vertical="center" wrapText="1"/>
    </xf>
    <xf numFmtId="6" fontId="0" fillId="0" borderId="0" xfId="0" applyNumberFormat="1"/>
    <xf numFmtId="6" fontId="0" fillId="0" borderId="0" xfId="0" applyNumberFormat="1" applyAlignment="1">
      <alignment vertical="center" wrapText="1"/>
    </xf>
    <xf numFmtId="44" fontId="0" fillId="6" borderId="0" xfId="0" applyNumberFormat="1" applyFill="1"/>
    <xf numFmtId="0" fontId="8" fillId="0" borderId="0" xfId="0" applyFont="1"/>
    <xf numFmtId="0" fontId="8" fillId="0" borderId="0" xfId="0" applyFont="1" applyAlignment="1">
      <alignment horizontal="left"/>
    </xf>
    <xf numFmtId="0" fontId="8" fillId="8" borderId="0" xfId="0" applyFont="1" applyFill="1" applyAlignment="1">
      <alignment horizontal="center"/>
    </xf>
    <xf numFmtId="0" fontId="0" fillId="8" borderId="0" xfId="0" applyFill="1"/>
    <xf numFmtId="0" fontId="8" fillId="9" borderId="0" xfId="0" applyFont="1" applyFill="1" applyAlignment="1">
      <alignment horizontal="center"/>
    </xf>
    <xf numFmtId="0" fontId="0" fillId="9" borderId="0" xfId="0" applyFill="1"/>
    <xf numFmtId="44" fontId="7" fillId="0" borderId="0" xfId="2"/>
    <xf numFmtId="44" fontId="7" fillId="9" borderId="0" xfId="2" applyFill="1"/>
    <xf numFmtId="44" fontId="7" fillId="8" borderId="0" xfId="2" applyFill="1"/>
    <xf numFmtId="0" fontId="8" fillId="0" borderId="9" xfId="0" applyFont="1" applyBorder="1"/>
    <xf numFmtId="44" fontId="7" fillId="8" borderId="10" xfId="2" applyFill="1" applyBorder="1"/>
    <xf numFmtId="44" fontId="7" fillId="9" borderId="10" xfId="2" applyFill="1" applyBorder="1"/>
    <xf numFmtId="0" fontId="0" fillId="0" borderId="10" xfId="0" applyBorder="1"/>
    <xf numFmtId="0" fontId="8" fillId="0" borderId="8" xfId="0" applyFont="1" applyBorder="1"/>
    <xf numFmtId="44" fontId="7" fillId="8" borderId="8" xfId="2" applyFill="1" applyBorder="1"/>
    <xf numFmtId="44" fontId="7" fillId="9" borderId="8" xfId="2" applyFill="1" applyBorder="1"/>
    <xf numFmtId="0" fontId="3" fillId="0" borderId="8" xfId="0" applyFont="1" applyBorder="1" applyAlignment="1">
      <alignment horizontal="center"/>
    </xf>
    <xf numFmtId="0" fontId="3" fillId="0" borderId="0" xfId="0" applyFont="1" applyAlignment="1">
      <alignment horizontal="center" wrapText="1"/>
    </xf>
    <xf numFmtId="44" fontId="0" fillId="8" borderId="0" xfId="2" applyFont="1" applyFill="1"/>
    <xf numFmtId="44" fontId="0" fillId="0" borderId="0" xfId="0" applyNumberFormat="1"/>
    <xf numFmtId="0" fontId="0" fillId="5" borderId="1" xfId="0" applyFill="1" applyBorder="1" applyAlignment="1" applyProtection="1">
      <alignment horizontal="center"/>
      <protection locked="0"/>
    </xf>
    <xf numFmtId="0" fontId="0" fillId="0" borderId="0" xfId="0" applyAlignment="1">
      <alignment horizontal="center"/>
    </xf>
    <xf numFmtId="0" fontId="3" fillId="9" borderId="0" xfId="0" applyFont="1" applyFill="1" applyAlignment="1">
      <alignment horizontal="center"/>
    </xf>
    <xf numFmtId="0" fontId="3" fillId="8" borderId="0" xfId="0" applyFont="1" applyFill="1" applyAlignment="1">
      <alignment horizontal="center"/>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3" fillId="4" borderId="6" xfId="0" applyFont="1" applyFill="1" applyBorder="1" applyAlignment="1">
      <alignment horizontal="center"/>
    </xf>
    <xf numFmtId="0" fontId="3" fillId="4" borderId="7" xfId="0" applyFont="1" applyFill="1" applyBorder="1" applyAlignment="1">
      <alignment horizontal="center"/>
    </xf>
    <xf numFmtId="0" fontId="5" fillId="6" borderId="0" xfId="0" applyFont="1" applyFill="1" applyAlignment="1">
      <alignment horizontal="left" wrapText="1"/>
    </xf>
    <xf numFmtId="0" fontId="6" fillId="6" borderId="0" xfId="0" applyFont="1" applyFill="1" applyAlignment="1">
      <alignment horizontal="left" wrapText="1"/>
    </xf>
    <xf numFmtId="0" fontId="0" fillId="7" borderId="2" xfId="0" applyFill="1" applyBorder="1" applyAlignment="1">
      <alignment horizontal="left" wrapText="1"/>
    </xf>
    <xf numFmtId="0" fontId="0" fillId="7" borderId="0" xfId="0" applyFill="1" applyAlignment="1">
      <alignment horizontal="left" wrapText="1"/>
    </xf>
    <xf numFmtId="0" fontId="0" fillId="10" borderId="0" xfId="0" applyFill="1" applyAlignment="1">
      <alignment horizontal="left" wrapText="1"/>
    </xf>
    <xf numFmtId="0" fontId="0" fillId="0" borderId="0" xfId="0" applyAlignment="1">
      <alignment vertical="center" wrapText="1"/>
    </xf>
  </cellXfs>
  <cellStyles count="6">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0" builtinId="0"/>
    <cellStyle name="Percent" xfId="1"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4"/>
  <sheetViews>
    <sheetView tabSelected="1" zoomScaleNormal="100" workbookViewId="0">
      <selection activeCell="F10" sqref="F10"/>
    </sheetView>
  </sheetViews>
  <sheetFormatPr defaultColWidth="9.1328125" defaultRowHeight="14.25" x14ac:dyDescent="0.45"/>
  <cols>
    <col min="1" max="1" width="25.1328125" customWidth="1"/>
    <col min="2" max="2" width="30.3984375" customWidth="1"/>
    <col min="3" max="3" width="32" customWidth="1"/>
    <col min="4" max="5" width="22" customWidth="1"/>
    <col min="6" max="6" width="25.3984375" customWidth="1"/>
    <col min="7" max="7" width="21.3984375" hidden="1" customWidth="1"/>
    <col min="8" max="8" width="22" hidden="1" customWidth="1"/>
    <col min="9" max="9" width="13.59765625" hidden="1" customWidth="1"/>
    <col min="10" max="11" width="24.3984375" hidden="1" customWidth="1"/>
    <col min="12" max="12" width="29" hidden="1" customWidth="1"/>
    <col min="13" max="13" width="22.1328125" hidden="1" customWidth="1"/>
    <col min="14" max="14" width="22" hidden="1" customWidth="1"/>
    <col min="15" max="15" width="23.3984375" hidden="1" customWidth="1"/>
    <col min="16" max="16" width="9.1328125" hidden="1" customWidth="1"/>
    <col min="17" max="22" width="0" hidden="1" customWidth="1"/>
  </cols>
  <sheetData>
    <row r="1" spans="1:14" ht="18" x14ac:dyDescent="0.55000000000000004">
      <c r="A1" s="7" t="s">
        <v>86</v>
      </c>
      <c r="B1" s="8"/>
      <c r="C1" s="8"/>
      <c r="D1" s="8"/>
      <c r="E1" s="8"/>
      <c r="F1" s="8"/>
    </row>
    <row r="2" spans="1:14" ht="86.1" customHeight="1" x14ac:dyDescent="0.45">
      <c r="A2" s="40" t="s">
        <v>78</v>
      </c>
      <c r="B2" s="41"/>
      <c r="C2" s="41"/>
      <c r="D2" s="41"/>
      <c r="E2" s="41"/>
      <c r="F2" s="42"/>
      <c r="G2" s="5"/>
    </row>
    <row r="3" spans="1:14" ht="28.5" x14ac:dyDescent="0.45">
      <c r="A3" s="43" t="s">
        <v>11</v>
      </c>
      <c r="B3" s="43"/>
      <c r="C3" s="43"/>
      <c r="D3" s="43"/>
      <c r="E3" s="43"/>
      <c r="F3" s="44"/>
      <c r="G3" s="2"/>
      <c r="H3" s="39" t="s">
        <v>83</v>
      </c>
      <c r="I3" s="39"/>
      <c r="J3" s="38" t="s">
        <v>84</v>
      </c>
      <c r="K3" s="38"/>
      <c r="L3" s="33" t="s">
        <v>74</v>
      </c>
    </row>
    <row r="4" spans="1:14" x14ac:dyDescent="0.45">
      <c r="A4" s="8"/>
      <c r="B4" s="8"/>
      <c r="C4" s="8"/>
      <c r="D4" s="8"/>
      <c r="E4" s="8"/>
      <c r="F4" s="8"/>
      <c r="H4" s="18" t="s">
        <v>66</v>
      </c>
      <c r="I4" s="18" t="s">
        <v>67</v>
      </c>
      <c r="J4" s="20" t="s">
        <v>66</v>
      </c>
      <c r="K4" s="20" t="s">
        <v>67</v>
      </c>
      <c r="L4" s="22"/>
      <c r="M4" s="2"/>
      <c r="N4" s="2"/>
    </row>
    <row r="5" spans="1:14" x14ac:dyDescent="0.45">
      <c r="A5" s="8" t="s">
        <v>13</v>
      </c>
      <c r="B5" s="8"/>
      <c r="C5" s="8"/>
      <c r="D5" s="8"/>
      <c r="E5" s="8"/>
      <c r="F5" s="36">
        <v>8</v>
      </c>
      <c r="H5" s="24">
        <f>F5*35</f>
        <v>280</v>
      </c>
      <c r="I5" s="24"/>
      <c r="J5" s="23">
        <f>F5*35</f>
        <v>280</v>
      </c>
      <c r="K5" s="23"/>
      <c r="L5" s="22">
        <v>140</v>
      </c>
    </row>
    <row r="6" spans="1:14" x14ac:dyDescent="0.45">
      <c r="A6" s="8" t="s">
        <v>14</v>
      </c>
      <c r="B6" s="8"/>
      <c r="C6" s="8"/>
      <c r="D6" s="8"/>
      <c r="E6" s="8"/>
      <c r="F6" s="36">
        <v>1</v>
      </c>
      <c r="H6" s="24"/>
      <c r="I6" s="24">
        <f>F6*L6</f>
        <v>205</v>
      </c>
      <c r="J6" s="23"/>
      <c r="K6" s="23">
        <f>F6*L6</f>
        <v>205</v>
      </c>
      <c r="L6" s="22">
        <v>205</v>
      </c>
      <c r="N6" t="s">
        <v>75</v>
      </c>
    </row>
    <row r="7" spans="1:14" x14ac:dyDescent="0.45">
      <c r="A7" s="8" t="s">
        <v>15</v>
      </c>
      <c r="B7" s="8"/>
      <c r="C7" s="8"/>
      <c r="D7" s="8"/>
      <c r="E7" s="8"/>
      <c r="F7" s="36">
        <v>1</v>
      </c>
      <c r="H7" s="24">
        <f>($F$7*150)</f>
        <v>150</v>
      </c>
      <c r="I7" s="24"/>
      <c r="J7" s="23"/>
      <c r="K7" s="23">
        <f>$F$7*$L$7</f>
        <v>2400</v>
      </c>
      <c r="L7" s="22">
        <v>2400</v>
      </c>
    </row>
    <row r="8" spans="1:14" x14ac:dyDescent="0.45">
      <c r="A8" s="8" t="s">
        <v>16</v>
      </c>
      <c r="B8" s="8"/>
      <c r="C8" s="8"/>
      <c r="D8" s="8"/>
      <c r="E8" s="8"/>
      <c r="F8" s="36">
        <v>0</v>
      </c>
      <c r="H8" s="24">
        <f>($F$8*600)</f>
        <v>0</v>
      </c>
      <c r="I8" s="24"/>
      <c r="J8" s="23"/>
      <c r="K8" s="23">
        <f>$F$8*$L$8</f>
        <v>0</v>
      </c>
      <c r="L8" s="22">
        <v>26500</v>
      </c>
    </row>
    <row r="9" spans="1:14" x14ac:dyDescent="0.45">
      <c r="A9" s="8" t="s">
        <v>17</v>
      </c>
      <c r="B9" s="8"/>
      <c r="C9" s="8"/>
      <c r="D9" s="8"/>
      <c r="E9" s="8"/>
      <c r="F9" s="36">
        <v>1</v>
      </c>
      <c r="H9" s="24"/>
      <c r="I9" s="24">
        <f>F9*L9</f>
        <v>1025</v>
      </c>
      <c r="J9" s="23"/>
      <c r="K9" s="23">
        <f>F9*L9</f>
        <v>1025</v>
      </c>
      <c r="L9" s="22">
        <v>1025</v>
      </c>
    </row>
    <row r="10" spans="1:14" x14ac:dyDescent="0.45">
      <c r="A10" s="8" t="s">
        <v>0</v>
      </c>
      <c r="B10" s="8"/>
      <c r="C10" s="8"/>
      <c r="D10" s="8"/>
      <c r="E10" s="8"/>
      <c r="F10" s="36">
        <v>1</v>
      </c>
      <c r="H10" s="24">
        <f>$F$10*10*12</f>
        <v>120</v>
      </c>
      <c r="I10" s="24"/>
      <c r="J10" s="23">
        <f>$F$10*10*12</f>
        <v>120</v>
      </c>
      <c r="K10" s="23"/>
      <c r="L10" s="22">
        <v>25</v>
      </c>
    </row>
    <row r="11" spans="1:14" x14ac:dyDescent="0.45">
      <c r="A11" s="8" t="s">
        <v>6</v>
      </c>
      <c r="B11" s="8"/>
      <c r="C11" s="8"/>
      <c r="D11" s="8"/>
      <c r="E11" s="8"/>
      <c r="F11" s="36">
        <v>0</v>
      </c>
      <c r="H11" s="24">
        <f>$F$11*50*12</f>
        <v>0</v>
      </c>
      <c r="I11" s="24"/>
      <c r="J11" s="23">
        <f>$F$11*50*12</f>
        <v>0</v>
      </c>
      <c r="K11" s="23"/>
      <c r="L11" s="22">
        <v>100</v>
      </c>
    </row>
    <row r="12" spans="1:14" x14ac:dyDescent="0.45">
      <c r="A12" s="8" t="s">
        <v>5</v>
      </c>
      <c r="B12" s="8"/>
      <c r="C12" s="8"/>
      <c r="D12" s="8"/>
      <c r="E12" s="8"/>
      <c r="F12" s="36">
        <v>0</v>
      </c>
      <c r="H12" s="24">
        <f>$F$12*75*12</f>
        <v>0</v>
      </c>
      <c r="I12" s="24"/>
      <c r="J12" s="23">
        <f>$F$12*75*12</f>
        <v>0</v>
      </c>
      <c r="K12" s="23"/>
      <c r="L12" s="22">
        <v>300</v>
      </c>
    </row>
    <row r="13" spans="1:14" x14ac:dyDescent="0.45">
      <c r="A13" s="8" t="s">
        <v>3</v>
      </c>
      <c r="B13" s="8"/>
      <c r="C13" s="8"/>
      <c r="D13" s="8"/>
      <c r="E13" s="8"/>
      <c r="F13" s="36" t="s">
        <v>73</v>
      </c>
      <c r="G13" s="25" t="s">
        <v>9</v>
      </c>
      <c r="H13" s="26">
        <f>IF($F$13="Employee Only",H22,IF($F$13="Employee &amp; Spouse",H23,IF($F$13="Employee &amp; Children",H24,IF($F$13="Employee &amp; Family",H25,0))))</f>
        <v>6391.7999999999993</v>
      </c>
      <c r="I13" s="26"/>
      <c r="J13" s="27">
        <f>IF($F$13="Employee Only",J22,IF($F$13="Employee &amp; Spouse",J23,IF($F$13="Employee &amp; Children",J24,IF($F$13="Employee &amp; Family",J25,0))))</f>
        <v>2485.92</v>
      </c>
      <c r="K13" s="27"/>
      <c r="L13" s="28"/>
    </row>
    <row r="14" spans="1:14" ht="8.25" customHeight="1" x14ac:dyDescent="0.45">
      <c r="A14" s="8"/>
      <c r="B14" s="8"/>
      <c r="C14" s="8"/>
      <c r="D14" s="8"/>
      <c r="E14" s="8"/>
      <c r="F14" s="8"/>
      <c r="G14" s="16" t="s">
        <v>72</v>
      </c>
      <c r="H14" s="24">
        <v>0</v>
      </c>
      <c r="I14" s="24"/>
      <c r="J14" s="23">
        <f>IF($F$13="Employee Only",K22,IF($F$13="Employee &amp; Spouse",K23,IF($F$13="Employee &amp; Children",K24,IF($F$13="Employee &amp; Family",K25,0))))</f>
        <v>-1500</v>
      </c>
      <c r="K14" s="23"/>
    </row>
    <row r="15" spans="1:14" ht="18" x14ac:dyDescent="0.55000000000000004">
      <c r="A15" s="7" t="s">
        <v>77</v>
      </c>
      <c r="B15" s="7"/>
      <c r="C15" s="7"/>
      <c r="D15" s="7"/>
      <c r="E15" s="7"/>
      <c r="F15" s="8"/>
      <c r="G15" s="16" t="s">
        <v>7</v>
      </c>
      <c r="H15" s="24">
        <f>SUM(H5:H12)</f>
        <v>550</v>
      </c>
      <c r="I15" s="24"/>
      <c r="J15" s="23">
        <f>SUM(J5:J12)</f>
        <v>400</v>
      </c>
      <c r="K15" s="23"/>
    </row>
    <row r="16" spans="1:14" ht="10.5" customHeight="1" x14ac:dyDescent="0.45">
      <c r="A16" s="8"/>
      <c r="B16" s="8"/>
      <c r="C16" s="8"/>
      <c r="D16" s="8"/>
      <c r="E16" s="8"/>
      <c r="F16" s="8"/>
      <c r="G16" s="16" t="s">
        <v>10</v>
      </c>
      <c r="H16" s="34">
        <f>IF($F$13="Employee Only",IF(SUM(I5:I12)&gt;500,500,SUM(I5:I12)),IF($F$13="Employee &amp; Spouse",IF(SUM(I5:I12)&gt;1000,1000,SUM(I5:I12)),IF(OR($F$13="Employee &amp; Children",$F$13="Employee &amp; Family"),IF(SUM(I5:I12)&gt;1500,1500,SUM(I5:I12)))))</f>
        <v>1230</v>
      </c>
      <c r="I16" s="24"/>
      <c r="J16" s="23">
        <f>IF($F$13="Employee Only",IF(SUM(K5:K12)&gt;1500,1500,SUM(K5:K12)),IF(OR($F$13="Employee &amp; Spouse",$F$13="Employee &amp; Children",$F$13="Employee &amp; Family"),IF(SUM(K5:K12)&gt;3000,3000,SUM(K5:K12))))</f>
        <v>3000</v>
      </c>
      <c r="K16" s="23"/>
      <c r="N16">
        <f>IF($F$13="Employee Only",IF(SUM(I5:I12)&gt;500,500,SUM(I5:I12)),IF($F$13="Employee &amp; Spouse",IF(SUM(I5:I12)&gt;1000,1000,SUM(I5:I12)),IF(OR($F$13="Employee &amp; Children",$F$13="Employee &amp; Family"),IF(SUM(I5:I12)&gt;1500,1500,SUM(I5:I12)))))</f>
        <v>1230</v>
      </c>
    </row>
    <row r="17" spans="1:13" s="2" customFormat="1" x14ac:dyDescent="0.45">
      <c r="A17" s="9"/>
      <c r="B17" s="4" t="s">
        <v>80</v>
      </c>
      <c r="C17" s="4" t="s">
        <v>81</v>
      </c>
      <c r="D17" s="8"/>
      <c r="E17" s="8"/>
      <c r="F17" s="9"/>
      <c r="G17" s="16" t="s">
        <v>1</v>
      </c>
      <c r="H17" s="24">
        <f>IF(OR(H16=500,H16=1000,H16=1500),(SUM(I5:I9)-H16)*0.2,0)</f>
        <v>0</v>
      </c>
      <c r="I17" s="24"/>
      <c r="J17" s="23">
        <f>IF(OR(J16=1500,J16=3000),(SUM(K5:K9)-J16)*0.2,0)</f>
        <v>126</v>
      </c>
      <c r="K17" s="23"/>
      <c r="L17"/>
    </row>
    <row r="18" spans="1:13" ht="14.45" customHeight="1" x14ac:dyDescent="0.55000000000000004">
      <c r="A18" s="1" t="s">
        <v>12</v>
      </c>
      <c r="B18" s="10">
        <f>H18</f>
        <v>1780</v>
      </c>
      <c r="C18" s="10">
        <f>J18</f>
        <v>3526</v>
      </c>
      <c r="D18" s="47" t="s">
        <v>79</v>
      </c>
      <c r="E18" s="48"/>
      <c r="F18" s="7"/>
      <c r="G18" s="29" t="s">
        <v>18</v>
      </c>
      <c r="H18" s="30">
        <f>IF($F$13="Employee Only",IF(SUM(H15:H17)&gt;3000,3000,SUM(H15:H17)),IF(OR($F$13="Employee &amp; Spouse",$F$13="Employee &amp; Children"),IF(SUM(H15:H17)&gt;6000,6000,SUM(H15:H17)),IF($F$13="Employee &amp; Family",IF(SUM(H15:H17)&gt;9000,9000,SUM(H15:H17)))))</f>
        <v>1780</v>
      </c>
      <c r="I18" s="30"/>
      <c r="J18" s="31">
        <f>IF($F$13="Employee Only",IF(SUM(J15:J17)&gt;4500,4500,SUM(J15:J17)),IF(SUM(J15:J17)&gt;9000,9000,SUM(J15:J17)))</f>
        <v>3526</v>
      </c>
      <c r="K18" s="31"/>
      <c r="L18" s="32"/>
    </row>
    <row r="19" spans="1:13" ht="14.45" customHeight="1" x14ac:dyDescent="0.55000000000000004">
      <c r="A19" s="1" t="s">
        <v>68</v>
      </c>
      <c r="B19" s="10">
        <f>H14</f>
        <v>0</v>
      </c>
      <c r="C19" s="10">
        <f>J14</f>
        <v>-1500</v>
      </c>
      <c r="D19" s="7"/>
      <c r="E19" s="7"/>
      <c r="F19" s="7"/>
      <c r="G19" s="16"/>
      <c r="H19" s="19"/>
      <c r="I19" s="19"/>
      <c r="J19" s="21"/>
      <c r="K19" s="21"/>
    </row>
    <row r="20" spans="1:13" ht="14.45" customHeight="1" x14ac:dyDescent="0.55000000000000004">
      <c r="A20" s="1" t="s">
        <v>9</v>
      </c>
      <c r="B20" s="10">
        <f>H13</f>
        <v>6391.7999999999993</v>
      </c>
      <c r="C20" s="10">
        <f>J13</f>
        <v>2485.92</v>
      </c>
      <c r="D20" s="7"/>
      <c r="E20" s="7"/>
      <c r="F20" s="7"/>
      <c r="G20" s="16"/>
      <c r="H20" s="19"/>
      <c r="I20" s="19"/>
      <c r="J20" s="21"/>
      <c r="K20" s="21"/>
    </row>
    <row r="21" spans="1:13" ht="14.45" customHeight="1" x14ac:dyDescent="0.45">
      <c r="A21" s="3" t="s">
        <v>4</v>
      </c>
      <c r="B21" s="11">
        <f>B18+B20</f>
        <v>8171.7999999999993</v>
      </c>
      <c r="C21" s="11">
        <f>MAX(C18+C19,0)+C20</f>
        <v>4511.92</v>
      </c>
      <c r="D21" s="15">
        <f>C21-B21</f>
        <v>-3659.8799999999992</v>
      </c>
      <c r="E21" s="49" t="s">
        <v>82</v>
      </c>
      <c r="F21" s="49"/>
      <c r="G21" s="16"/>
      <c r="H21" s="18" t="s">
        <v>70</v>
      </c>
      <c r="I21" s="18"/>
      <c r="J21" s="20" t="s">
        <v>70</v>
      </c>
      <c r="K21" s="20" t="s">
        <v>71</v>
      </c>
    </row>
    <row r="22" spans="1:13" x14ac:dyDescent="0.45">
      <c r="A22" s="8"/>
      <c r="B22" s="8"/>
      <c r="C22" s="8"/>
      <c r="D22" s="8"/>
      <c r="E22" s="49"/>
      <c r="F22" s="49"/>
      <c r="G22" s="16" t="s">
        <v>8</v>
      </c>
      <c r="H22" s="24">
        <f>H31*12</f>
        <v>759.84</v>
      </c>
      <c r="I22" s="24"/>
      <c r="J22" s="23">
        <f>I31*12</f>
        <v>0</v>
      </c>
      <c r="K22" s="23">
        <v>-600</v>
      </c>
      <c r="L22" s="35">
        <f>J22-H22</f>
        <v>-759.84</v>
      </c>
      <c r="M22" s="35">
        <f>SUM(K22:L22)</f>
        <v>-1359.8400000000001</v>
      </c>
    </row>
    <row r="23" spans="1:13" x14ac:dyDescent="0.45">
      <c r="A23" s="8"/>
      <c r="B23" s="8"/>
      <c r="C23" s="8"/>
      <c r="D23" s="8"/>
      <c r="E23" s="8"/>
      <c r="F23" s="8"/>
      <c r="G23" s="16" t="s">
        <v>2</v>
      </c>
      <c r="H23" s="24">
        <f>H32*12</f>
        <v>3976.2000000000003</v>
      </c>
      <c r="I23" s="24"/>
      <c r="J23" s="23">
        <f>I32*12</f>
        <v>1432.8000000000002</v>
      </c>
      <c r="K23" s="23">
        <v>-1000</v>
      </c>
      <c r="L23" s="35">
        <f>I23-J23</f>
        <v>-1432.8000000000002</v>
      </c>
      <c r="M23" s="35">
        <f>SUM(K23:L23)</f>
        <v>-2432.8000000000002</v>
      </c>
    </row>
    <row r="24" spans="1:13" ht="41.1" customHeight="1" x14ac:dyDescent="0.45">
      <c r="A24" s="46" t="s">
        <v>85</v>
      </c>
      <c r="B24" s="46"/>
      <c r="C24" s="46"/>
      <c r="D24" s="46"/>
      <c r="E24" s="46"/>
      <c r="F24" s="46"/>
      <c r="G24" s="16" t="s">
        <v>69</v>
      </c>
      <c r="H24" s="24">
        <f>H33*12</f>
        <v>2969.52</v>
      </c>
      <c r="I24" s="24"/>
      <c r="J24" s="23">
        <f>I33*12</f>
        <v>1374.6</v>
      </c>
      <c r="K24" s="23">
        <v>-1000</v>
      </c>
      <c r="L24" s="35">
        <f>J24-H24</f>
        <v>-1594.92</v>
      </c>
      <c r="M24" s="35">
        <f>SUM(K24:L24)</f>
        <v>-2594.92</v>
      </c>
    </row>
    <row r="25" spans="1:13" ht="14.45" customHeight="1" x14ac:dyDescent="0.45">
      <c r="A25" s="8"/>
      <c r="B25" s="8"/>
      <c r="C25" s="8"/>
      <c r="D25" s="8"/>
      <c r="E25" s="8"/>
      <c r="F25" s="8"/>
      <c r="G25" s="17" t="s">
        <v>73</v>
      </c>
      <c r="H25" s="24">
        <f>H34*12</f>
        <v>6391.7999999999993</v>
      </c>
      <c r="I25" s="24"/>
      <c r="J25" s="23">
        <f>I34*12</f>
        <v>2485.92</v>
      </c>
      <c r="K25" s="23">
        <v>-1500</v>
      </c>
      <c r="L25" s="35">
        <f>I25-J25</f>
        <v>-2485.92</v>
      </c>
      <c r="M25" s="35">
        <f>SUM(K25:L25)</f>
        <v>-3985.92</v>
      </c>
    </row>
    <row r="26" spans="1:13" ht="28.5" customHeight="1" x14ac:dyDescent="0.45">
      <c r="A26" s="45" t="s">
        <v>76</v>
      </c>
      <c r="B26" s="45"/>
      <c r="C26" s="45"/>
      <c r="D26" s="45"/>
      <c r="E26" s="45"/>
      <c r="F26" s="45"/>
    </row>
    <row r="27" spans="1:13" ht="29.45" customHeight="1" x14ac:dyDescent="0.45">
      <c r="G27" s="6"/>
    </row>
    <row r="29" spans="1:13" x14ac:dyDescent="0.45">
      <c r="H29" s="37" t="s">
        <v>87</v>
      </c>
      <c r="I29" s="37"/>
    </row>
    <row r="30" spans="1:13" x14ac:dyDescent="0.45">
      <c r="H30" t="s">
        <v>83</v>
      </c>
      <c r="I30" t="s">
        <v>84</v>
      </c>
    </row>
    <row r="31" spans="1:13" x14ac:dyDescent="0.45">
      <c r="G31" t="s">
        <v>8</v>
      </c>
      <c r="H31">
        <v>63.32</v>
      </c>
      <c r="I31">
        <v>0</v>
      </c>
    </row>
    <row r="32" spans="1:13" x14ac:dyDescent="0.45">
      <c r="G32" t="s">
        <v>2</v>
      </c>
      <c r="H32">
        <v>331.35</v>
      </c>
      <c r="I32">
        <v>119.4</v>
      </c>
    </row>
    <row r="33" spans="7:9" x14ac:dyDescent="0.45">
      <c r="G33" t="s">
        <v>69</v>
      </c>
      <c r="H33">
        <v>247.46</v>
      </c>
      <c r="I33">
        <v>114.55</v>
      </c>
    </row>
    <row r="34" spans="7:9" x14ac:dyDescent="0.45">
      <c r="G34" t="s">
        <v>73</v>
      </c>
      <c r="H34">
        <v>532.65</v>
      </c>
      <c r="I34">
        <v>207.16</v>
      </c>
    </row>
  </sheetData>
  <sheetProtection algorithmName="SHA-512" hashValue="+xlGWCMH0NxXGoDp7Mmljz7U4Fg9cr8Y5vIWsdjHkQF1/iYOlc1aCG0fd7hHRsGHtf2rOcit3ZdNAm6PzGMOlg==" saltValue="RmxbEqGBJc2FVFShPcet0g==" spinCount="100000" sheet="1" selectLockedCells="1"/>
  <mergeCells count="9">
    <mergeCell ref="H29:I29"/>
    <mergeCell ref="J3:K3"/>
    <mergeCell ref="H3:I3"/>
    <mergeCell ref="A2:F2"/>
    <mergeCell ref="A3:F3"/>
    <mergeCell ref="A26:F26"/>
    <mergeCell ref="A24:F24"/>
    <mergeCell ref="D18:E18"/>
    <mergeCell ref="E21:F22"/>
  </mergeCells>
  <dataValidations count="1">
    <dataValidation type="list" allowBlank="1" showInputMessage="1" showErrorMessage="1" promptTitle="Choose Coverage Level" sqref="F13" xr:uid="{00000000-0002-0000-0000-000000000000}">
      <formula1>$G$22:$G$25</formula1>
    </dataValidation>
  </dataValidations>
  <printOptions horizontalCentered="1"/>
  <pageMargins left="0.25" right="0.25" top="0.75" bottom="0.75" header="0.3" footer="0.3"/>
  <pageSetup scale="87"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0"/>
  <sheetViews>
    <sheetView topLeftCell="A13" workbookViewId="0">
      <selection activeCell="G21" sqref="G21"/>
    </sheetView>
  </sheetViews>
  <sheetFormatPr defaultColWidth="9.1328125" defaultRowHeight="14.25" x14ac:dyDescent="0.45"/>
  <cols>
    <col min="2" max="6" width="15.1328125" customWidth="1"/>
  </cols>
  <sheetData>
    <row r="1" spans="1:7" ht="28.5" x14ac:dyDescent="0.45">
      <c r="A1" s="12"/>
      <c r="B1" s="12" t="s">
        <v>19</v>
      </c>
      <c r="C1" s="12" t="s">
        <v>20</v>
      </c>
      <c r="D1" s="12" t="s">
        <v>21</v>
      </c>
      <c r="E1" s="12" t="s">
        <v>22</v>
      </c>
      <c r="F1" s="12" t="s">
        <v>23</v>
      </c>
    </row>
    <row r="2" spans="1:7" ht="28.5" x14ac:dyDescent="0.45">
      <c r="A2" s="50" t="s">
        <v>24</v>
      </c>
      <c r="B2" s="12" t="s">
        <v>25</v>
      </c>
      <c r="C2" s="12" t="s">
        <v>28</v>
      </c>
      <c r="D2" s="12" t="s">
        <v>31</v>
      </c>
      <c r="E2" s="12" t="s">
        <v>28</v>
      </c>
      <c r="F2" s="12" t="s">
        <v>33</v>
      </c>
    </row>
    <row r="3" spans="1:7" x14ac:dyDescent="0.45">
      <c r="A3" s="50"/>
      <c r="B3" s="12" t="s">
        <v>26</v>
      </c>
      <c r="C3" s="12" t="s">
        <v>29</v>
      </c>
      <c r="D3" s="12"/>
      <c r="E3" s="12" t="s">
        <v>29</v>
      </c>
      <c r="F3" s="12" t="s">
        <v>34</v>
      </c>
    </row>
    <row r="4" spans="1:7" ht="42.75" x14ac:dyDescent="0.45">
      <c r="A4" s="50"/>
      <c r="B4" s="12"/>
      <c r="C4" s="12"/>
      <c r="D4" s="12" t="s">
        <v>32</v>
      </c>
      <c r="E4" s="12"/>
      <c r="F4" s="12"/>
    </row>
    <row r="5" spans="1:7" ht="42.75" x14ac:dyDescent="0.45">
      <c r="A5" s="50"/>
      <c r="B5" s="12" t="s">
        <v>27</v>
      </c>
      <c r="C5" s="12" t="s">
        <v>30</v>
      </c>
      <c r="D5" s="12"/>
      <c r="E5" s="12" t="s">
        <v>30</v>
      </c>
      <c r="F5" s="12" t="s">
        <v>27</v>
      </c>
    </row>
    <row r="6" spans="1:7" x14ac:dyDescent="0.45">
      <c r="A6" s="50"/>
      <c r="B6" s="12"/>
      <c r="C6" s="12"/>
      <c r="D6" s="12"/>
      <c r="E6" s="12"/>
      <c r="F6" s="12"/>
    </row>
    <row r="7" spans="1:7" ht="42.75" x14ac:dyDescent="0.45">
      <c r="A7" s="12" t="s">
        <v>35</v>
      </c>
      <c r="B7" s="12" t="s">
        <v>36</v>
      </c>
      <c r="C7" s="12" t="s">
        <v>37</v>
      </c>
      <c r="D7" s="12" t="s">
        <v>38</v>
      </c>
      <c r="E7" s="12" t="s">
        <v>39</v>
      </c>
      <c r="F7" s="12" t="s">
        <v>40</v>
      </c>
    </row>
    <row r="8" spans="1:7" ht="28.5" x14ac:dyDescent="0.45">
      <c r="A8" s="12" t="s">
        <v>41</v>
      </c>
      <c r="B8" s="12" t="s">
        <v>42</v>
      </c>
      <c r="C8" s="12" t="s">
        <v>43</v>
      </c>
      <c r="D8" s="12" t="s">
        <v>44</v>
      </c>
      <c r="E8" s="12" t="s">
        <v>43</v>
      </c>
      <c r="F8" s="12" t="s">
        <v>45</v>
      </c>
    </row>
    <row r="9" spans="1:7" ht="28.5" x14ac:dyDescent="0.45">
      <c r="A9" s="12" t="s">
        <v>46</v>
      </c>
      <c r="B9" s="14">
        <v>90</v>
      </c>
      <c r="C9" s="14">
        <v>154</v>
      </c>
      <c r="D9" s="14">
        <v>104</v>
      </c>
      <c r="E9" s="14">
        <v>154</v>
      </c>
      <c r="F9" s="14">
        <v>107</v>
      </c>
      <c r="G9" s="13">
        <f>AVERAGE(B9:F9)</f>
        <v>121.8</v>
      </c>
    </row>
    <row r="12" spans="1:7" ht="28.5" x14ac:dyDescent="0.45">
      <c r="A12" s="12"/>
      <c r="B12" s="12" t="s">
        <v>47</v>
      </c>
      <c r="C12" s="12" t="s">
        <v>48</v>
      </c>
      <c r="D12" s="12" t="s">
        <v>49</v>
      </c>
      <c r="E12" s="12" t="s">
        <v>50</v>
      </c>
      <c r="F12" s="12" t="s">
        <v>51</v>
      </c>
    </row>
    <row r="13" spans="1:7" ht="42.75" x14ac:dyDescent="0.45">
      <c r="A13" s="50" t="s">
        <v>24</v>
      </c>
      <c r="B13" s="12" t="s">
        <v>52</v>
      </c>
      <c r="C13" s="12" t="s">
        <v>52</v>
      </c>
      <c r="D13" s="12" t="s">
        <v>25</v>
      </c>
      <c r="E13" s="12" t="s">
        <v>55</v>
      </c>
      <c r="F13" s="12" t="s">
        <v>56</v>
      </c>
    </row>
    <row r="14" spans="1:7" x14ac:dyDescent="0.45">
      <c r="A14" s="50"/>
      <c r="B14" s="12" t="s">
        <v>34</v>
      </c>
      <c r="C14" s="12" t="s">
        <v>53</v>
      </c>
      <c r="D14" s="12" t="s">
        <v>54</v>
      </c>
      <c r="E14" s="12"/>
      <c r="F14" s="12" t="s">
        <v>57</v>
      </c>
    </row>
    <row r="15" spans="1:7" ht="42.75" x14ac:dyDescent="0.45">
      <c r="A15" s="50"/>
      <c r="B15" s="12"/>
      <c r="C15" s="12"/>
      <c r="D15" s="12"/>
      <c r="E15" s="12" t="s">
        <v>27</v>
      </c>
      <c r="F15" s="12"/>
    </row>
    <row r="16" spans="1:7" ht="42.75" x14ac:dyDescent="0.45">
      <c r="A16" s="50"/>
      <c r="B16" s="12" t="s">
        <v>32</v>
      </c>
      <c r="C16" s="12" t="s">
        <v>32</v>
      </c>
      <c r="D16" s="12" t="s">
        <v>27</v>
      </c>
      <c r="E16" s="12"/>
      <c r="F16" s="12" t="s">
        <v>58</v>
      </c>
    </row>
    <row r="17" spans="1:7" x14ac:dyDescent="0.45">
      <c r="A17" s="50"/>
      <c r="B17" s="12"/>
      <c r="C17" s="12"/>
      <c r="D17" s="12"/>
      <c r="E17" s="12"/>
      <c r="F17" s="12"/>
    </row>
    <row r="18" spans="1:7" ht="42.75" x14ac:dyDescent="0.45">
      <c r="A18" s="12" t="s">
        <v>35</v>
      </c>
      <c r="B18" s="12" t="s">
        <v>59</v>
      </c>
      <c r="C18" s="12" t="s">
        <v>59</v>
      </c>
      <c r="D18" s="12" t="s">
        <v>60</v>
      </c>
      <c r="E18" s="12" t="s">
        <v>61</v>
      </c>
      <c r="F18" s="12" t="s">
        <v>62</v>
      </c>
    </row>
    <row r="19" spans="1:7" ht="28.5" x14ac:dyDescent="0.45">
      <c r="A19" s="12" t="s">
        <v>41</v>
      </c>
      <c r="B19" s="12" t="s">
        <v>63</v>
      </c>
      <c r="C19" s="12" t="s">
        <v>63</v>
      </c>
      <c r="D19" s="12" t="s">
        <v>42</v>
      </c>
      <c r="E19" s="12" t="s">
        <v>64</v>
      </c>
      <c r="F19" s="12" t="s">
        <v>65</v>
      </c>
    </row>
    <row r="20" spans="1:7" ht="28.5" x14ac:dyDescent="0.45">
      <c r="A20" s="12" t="s">
        <v>46</v>
      </c>
      <c r="B20" s="14">
        <v>79</v>
      </c>
      <c r="C20" s="14">
        <v>79</v>
      </c>
      <c r="D20" s="14">
        <v>97</v>
      </c>
      <c r="E20" s="14">
        <v>84</v>
      </c>
      <c r="F20" s="14">
        <v>86</v>
      </c>
      <c r="G20" s="13">
        <f>AVERAGE(B20:F20)</f>
        <v>85</v>
      </c>
    </row>
  </sheetData>
  <mergeCells count="2">
    <mergeCell ref="A2:A6"/>
    <mergeCell ref="A13:A17"/>
  </mergeCell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6DA6C02DCBA6E4DBDE17D6E096E0E9F" ma:contentTypeVersion="22" ma:contentTypeDescription="Create a new document." ma:contentTypeScope="" ma:versionID="a15d702bef054a1b6f52d9c2486ea94c">
  <xsd:schema xmlns:xsd="http://www.w3.org/2001/XMLSchema" xmlns:xs="http://www.w3.org/2001/XMLSchema" xmlns:p="http://schemas.microsoft.com/office/2006/metadata/properties" xmlns:ns2="c3e2c1d8-1bb1-431b-985f-897d687a9fae" xmlns:ns3="5ed94e94-be29-42a9-b0a6-7e496ffd3895" targetNamespace="http://schemas.microsoft.com/office/2006/metadata/properties" ma:root="true" ma:fieldsID="225032ad4f38a16e05bfde4d035805a7" ns2:_="" ns3:_="">
    <xsd:import namespace="c3e2c1d8-1bb1-431b-985f-897d687a9fae"/>
    <xsd:import namespace="5ed94e94-be29-42a9-b0a6-7e496ffd389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EgnyteSize" minOccurs="0"/>
                <xsd:element ref="ns2:MediaServiceLocation" minOccurs="0"/>
                <xsd:element ref="ns3:SharedWithUsers" minOccurs="0"/>
                <xsd:element ref="ns3:SharedWithDetails" minOccurs="0"/>
                <xsd:element ref="ns2:MediaServiceSearchProperties" minOccurs="0"/>
                <xsd:element ref="ns2:MediaServiceObjectDetectorVersions" minOccurs="0"/>
                <xsd:element ref="ns2:Fullname" minOccurs="0"/>
                <xsd:element ref="ns2:Email" minOccurs="0"/>
                <xsd:element ref="ns2:IntendedFor" minOccurs="0"/>
                <xsd:element ref="ns2:Compan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e2c1d8-1bb1-431b-985f-897d687a9f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16fa849-9aee-4305-8228-d5ef1c313dd4"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EgnyteSize" ma:index="20" nillable="true" ma:displayName="EgnyteSize" ma:internalName="EgnyteSize">
      <xsd:simpleType>
        <xsd:restriction base="dms:Number"/>
      </xsd:simpleType>
    </xsd:element>
    <xsd:element name="MediaServiceLocation" ma:index="21" nillable="true" ma:displayName="Location"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Fullname" ma:index="26" nillable="true" ma:displayName="Full name" ma:format="Dropdown" ma:internalName="Fullname">
      <xsd:simpleType>
        <xsd:restriction base="dms:Text">
          <xsd:maxLength value="255"/>
        </xsd:restriction>
      </xsd:simpleType>
    </xsd:element>
    <xsd:element name="Email" ma:index="27" nillable="true" ma:displayName="Email" ma:format="Dropdown" ma:internalName="Email">
      <xsd:simpleType>
        <xsd:restriction base="dms:Text">
          <xsd:maxLength value="255"/>
        </xsd:restriction>
      </xsd:simpleType>
    </xsd:element>
    <xsd:element name="IntendedFor" ma:index="28" nillable="true" ma:displayName="Intended For" ma:format="Dropdown" ma:internalName="IntendedFor">
      <xsd:simpleType>
        <xsd:restriction base="dms:Text">
          <xsd:maxLength value="255"/>
        </xsd:restriction>
      </xsd:simpleType>
    </xsd:element>
    <xsd:element name="Company" ma:index="29" nillable="true" ma:displayName="Company" ma:format="Dropdown" ma:internalName="Company">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d94e94-be29-42a9-b0a6-7e496ffd389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ae98e691-2d4a-48ac-8fbd-1463160d47d2}" ma:internalName="TaxCatchAll" ma:showField="CatchAllData" ma:web="5ed94e94-be29-42a9-b0a6-7e496ffd3895">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3e2c1d8-1bb1-431b-985f-897d687a9fae">
      <Terms xmlns="http://schemas.microsoft.com/office/infopath/2007/PartnerControls"/>
    </lcf76f155ced4ddcb4097134ff3c332f>
    <EgnyteSize xmlns="c3e2c1d8-1bb1-431b-985f-897d687a9fae" xsi:nil="true"/>
    <TaxCatchAll xmlns="5ed94e94-be29-42a9-b0a6-7e496ffd3895" xsi:nil="true"/>
    <Fullname xmlns="c3e2c1d8-1bb1-431b-985f-897d687a9fae" xsi:nil="true"/>
    <Email xmlns="c3e2c1d8-1bb1-431b-985f-897d687a9fae" xsi:nil="true"/>
    <Company xmlns="c3e2c1d8-1bb1-431b-985f-897d687a9fae" xsi:nil="true"/>
    <IntendedFor xmlns="c3e2c1d8-1bb1-431b-985f-897d687a9fae" xsi:nil="true"/>
  </documentManagement>
</p:properties>
</file>

<file path=customXml/itemProps1.xml><?xml version="1.0" encoding="utf-8"?>
<ds:datastoreItem xmlns:ds="http://schemas.openxmlformats.org/officeDocument/2006/customXml" ds:itemID="{D6D58FD8-2022-4A35-9C0D-21DCF9A946C1}">
  <ds:schemaRefs>
    <ds:schemaRef ds:uri="http://schemas.microsoft.com/sharepoint/v3/contenttype/forms"/>
  </ds:schemaRefs>
</ds:datastoreItem>
</file>

<file path=customXml/itemProps2.xml><?xml version="1.0" encoding="utf-8"?>
<ds:datastoreItem xmlns:ds="http://schemas.openxmlformats.org/officeDocument/2006/customXml" ds:itemID="{09972D26-6FB0-456C-914C-3BAD82B666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e2c1d8-1bb1-431b-985f-897d687a9fae"/>
    <ds:schemaRef ds:uri="5ed94e94-be29-42a9-b0a6-7e496ffd38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958FC6-0AEF-48A6-9627-B5F7C71CF12A}">
  <ds:schemaRefs>
    <ds:schemaRef ds:uri="http://schemas.openxmlformats.org/package/2006/metadata/core-properties"/>
    <ds:schemaRef ds:uri="http://schemas.microsoft.com/office/2006/documentManagement/types"/>
    <ds:schemaRef ds:uri="c3e2c1d8-1bb1-431b-985f-897d687a9fae"/>
    <ds:schemaRef ds:uri="http://purl.org/dc/dcmitype/"/>
    <ds:schemaRef ds:uri="http://purl.org/dc/terms/"/>
    <ds:schemaRef ds:uri="http://schemas.microsoft.com/office/infopath/2007/PartnerControls"/>
    <ds:schemaRef ds:uri="http://purl.org/dc/elements/1.1/"/>
    <ds:schemaRef ds:uri="5ed94e94-be29-42a9-b0a6-7e496ffd3895"/>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Cost Estimator</vt:lpstr>
      <vt:lpstr>Avg Costs</vt:lpstr>
      <vt:lpstr>'Cost Estimator'!Print_Area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Sherry A Bugnet</dc:creator>
  <cp:lastModifiedBy>Friedman, Rachael</cp:lastModifiedBy>
  <cp:lastPrinted>2022-08-31T14:32:51Z</cp:lastPrinted>
  <dcterms:created xsi:type="dcterms:W3CDTF">2009-11-03T22:59:38Z</dcterms:created>
  <dcterms:modified xsi:type="dcterms:W3CDTF">2023-09-10T13:45:49Z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Info">
    <vt:lpwstr>886d1467-b289-4f76-9437-7bc729c78fa4</vt:lpwstr>
  </property>
  <property fmtid="{D5CDD505-2E9C-101B-9397-08002B2CF9AE}" pid="3" name="ContentTypeId">
    <vt:lpwstr>0x01010096DA6C02DCBA6E4DBDE17D6E096E0E9F</vt:lpwstr>
  </property>
  <property fmtid="{D5CDD505-2E9C-101B-9397-08002B2CF9AE}" pid="4" name="Order">
    <vt:r8>9488400</vt:r8>
  </property>
  <property fmtid="{D5CDD505-2E9C-101B-9397-08002B2CF9AE}" pid="5" name="MediaServiceImageTags">
    <vt:lpwstr/>
  </property>
</Properties>
</file>